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<sst xmlns="http://schemas.openxmlformats.org/spreadsheetml/2006/main" count="85" uniqueCount="64">
  <si>
    <t>附件：</t>
  </si>
  <si>
    <t>鄂州市水务集团有限公司供水定价成本核定表</t>
  </si>
  <si>
    <r>
      <rPr>
        <sz val="10"/>
        <rFont val="宋体"/>
        <charset val="134"/>
      </rPr>
      <t>成本监审期：</t>
    </r>
    <r>
      <rPr>
        <sz val="10"/>
        <rFont val="Arial"/>
        <charset val="134"/>
      </rPr>
      <t>2020-2022</t>
    </r>
    <r>
      <rPr>
        <sz val="10"/>
        <rFont val="宋体"/>
        <charset val="134"/>
      </rPr>
      <t>年</t>
    </r>
  </si>
  <si>
    <t>金额单位：元</t>
  </si>
  <si>
    <t>项目名称</t>
  </si>
  <si>
    <t>行次及关系</t>
  </si>
  <si>
    <t>申报额</t>
  </si>
  <si>
    <t>核增（减）数</t>
  </si>
  <si>
    <t>核定数</t>
  </si>
  <si>
    <t>核增       核减额</t>
  </si>
  <si>
    <t xml:space="preserve">供水成本                   核定额 </t>
  </si>
  <si>
    <t>核增（减）说明</t>
  </si>
  <si>
    <t>备注</t>
  </si>
  <si>
    <t>2020年</t>
  </si>
  <si>
    <t>2021年</t>
  </si>
  <si>
    <t>2022年</t>
  </si>
  <si>
    <t>三年平均</t>
  </si>
  <si>
    <t>合计</t>
  </si>
  <si>
    <r>
      <rPr>
        <sz val="9"/>
        <rFont val="宋体"/>
        <charset val="134"/>
        <scheme val="major"/>
      </rPr>
      <t>年取水量（m</t>
    </r>
    <r>
      <rPr>
        <vertAlign val="superscript"/>
        <sz val="9"/>
        <rFont val="宋体"/>
        <charset val="134"/>
        <scheme val="major"/>
      </rPr>
      <t>3</t>
    </r>
    <r>
      <rPr>
        <sz val="9"/>
        <rFont val="宋体"/>
        <charset val="134"/>
        <scheme val="major"/>
      </rPr>
      <t>)</t>
    </r>
  </si>
  <si>
    <r>
      <rPr>
        <sz val="9"/>
        <rFont val="宋体"/>
        <charset val="134"/>
        <scheme val="major"/>
      </rPr>
      <t>年售水量（m</t>
    </r>
    <r>
      <rPr>
        <vertAlign val="superscript"/>
        <sz val="9"/>
        <rFont val="宋体"/>
        <charset val="134"/>
        <scheme val="major"/>
      </rPr>
      <t>3</t>
    </r>
    <r>
      <rPr>
        <sz val="9"/>
        <rFont val="宋体"/>
        <charset val="134"/>
        <scheme val="major"/>
      </rPr>
      <t>)</t>
    </r>
  </si>
  <si>
    <r>
      <rPr>
        <sz val="9"/>
        <rFont val="宋体"/>
        <charset val="134"/>
        <scheme val="major"/>
      </rPr>
      <t>年供水量（m</t>
    </r>
    <r>
      <rPr>
        <vertAlign val="superscript"/>
        <sz val="9"/>
        <rFont val="宋体"/>
        <charset val="134"/>
        <scheme val="major"/>
      </rPr>
      <t>3</t>
    </r>
    <r>
      <rPr>
        <sz val="9"/>
        <rFont val="宋体"/>
        <charset val="134"/>
        <scheme val="major"/>
      </rPr>
      <t>)</t>
    </r>
  </si>
  <si>
    <t>核定自用水率（%）</t>
  </si>
  <si>
    <t>核定漏损率（%）</t>
  </si>
  <si>
    <t>根据文件核定</t>
  </si>
  <si>
    <r>
      <rPr>
        <sz val="9"/>
        <rFont val="宋体"/>
        <charset val="134"/>
        <scheme val="major"/>
      </rPr>
      <t>年核定供水量（m</t>
    </r>
    <r>
      <rPr>
        <vertAlign val="superscript"/>
        <sz val="9"/>
        <rFont val="宋体"/>
        <charset val="134"/>
        <scheme val="major"/>
      </rPr>
      <t>3</t>
    </r>
    <r>
      <rPr>
        <sz val="9"/>
        <rFont val="宋体"/>
        <charset val="134"/>
        <scheme val="major"/>
      </rPr>
      <t>)</t>
    </r>
  </si>
  <si>
    <t>5=1×(1-3)×(1-4)</t>
  </si>
  <si>
    <t>漏损率核减导致核定供水量增加</t>
  </si>
  <si>
    <r>
      <rPr>
        <sz val="9"/>
        <rFont val="宋体"/>
        <charset val="134"/>
        <scheme val="major"/>
      </rPr>
      <t>设计日综合生产能力（m</t>
    </r>
    <r>
      <rPr>
        <vertAlign val="superscript"/>
        <sz val="9"/>
        <rFont val="宋体"/>
        <charset val="134"/>
        <scheme val="major"/>
      </rPr>
      <t>3</t>
    </r>
    <r>
      <rPr>
        <sz val="9"/>
        <rFont val="宋体"/>
        <charset val="134"/>
        <scheme val="major"/>
      </rPr>
      <t>/日)</t>
    </r>
  </si>
  <si>
    <r>
      <rPr>
        <sz val="9"/>
        <rFont val="宋体"/>
        <charset val="134"/>
        <scheme val="major"/>
      </rPr>
      <t>实际日综合生产能力（m</t>
    </r>
    <r>
      <rPr>
        <vertAlign val="superscript"/>
        <sz val="9"/>
        <rFont val="宋体"/>
        <charset val="134"/>
        <scheme val="major"/>
      </rPr>
      <t>3</t>
    </r>
    <r>
      <rPr>
        <sz val="9"/>
        <rFont val="宋体"/>
        <charset val="134"/>
        <scheme val="major"/>
      </rPr>
      <t>/日)</t>
    </r>
  </si>
  <si>
    <t>一、固定资产折旧（元）</t>
  </si>
  <si>
    <t>折旧年限、残值率等因素调整</t>
  </si>
  <si>
    <t>分年度平均</t>
  </si>
  <si>
    <t>二、无形资产摊销（元）</t>
  </si>
  <si>
    <t>摊销年限调整</t>
  </si>
  <si>
    <t>三、运行维护费（元）</t>
  </si>
  <si>
    <t>10=11+12+13+14+15+16+26</t>
  </si>
  <si>
    <t>1、原水费</t>
  </si>
  <si>
    <t>取最后一年数据</t>
  </si>
  <si>
    <t>最后一年</t>
  </si>
  <si>
    <t>2、材料费</t>
  </si>
  <si>
    <t>3、动力费</t>
  </si>
  <si>
    <t>4、外购成品水费</t>
  </si>
  <si>
    <t>5、修理费</t>
  </si>
  <si>
    <t>6、人工费</t>
  </si>
  <si>
    <t>（1）工资总额</t>
  </si>
  <si>
    <t>（2）职工福利费</t>
  </si>
  <si>
    <t>（3）社会保险费</t>
  </si>
  <si>
    <t>（4）住房公积金</t>
  </si>
  <si>
    <t>（5）年金</t>
  </si>
  <si>
    <t>（5）工会经费</t>
  </si>
  <si>
    <t>（6）教育经费</t>
  </si>
  <si>
    <t>（7）劳务派谴费</t>
  </si>
  <si>
    <t>7、其他运营费用</t>
  </si>
  <si>
    <t>（1）生产经营类费用</t>
  </si>
  <si>
    <t>（2）管理类费用</t>
  </si>
  <si>
    <t>（3）税金</t>
  </si>
  <si>
    <t>（4）其他</t>
  </si>
  <si>
    <t>核减了改制费</t>
  </si>
  <si>
    <t>四、财务费用（元）</t>
  </si>
  <si>
    <t>财务费用非供水定价成本范围</t>
  </si>
  <si>
    <t>五、供水总成本（元）</t>
  </si>
  <si>
    <t>32=8+9+10-31+32</t>
  </si>
  <si>
    <r>
      <rPr>
        <b/>
        <sz val="9"/>
        <rFont val="宋体"/>
        <charset val="134"/>
        <scheme val="major"/>
      </rPr>
      <t>六、单位供水成本（元/m</t>
    </r>
    <r>
      <rPr>
        <b/>
        <vertAlign val="superscript"/>
        <sz val="9"/>
        <rFont val="宋体"/>
        <charset val="134"/>
        <scheme val="major"/>
      </rPr>
      <t>3</t>
    </r>
    <r>
      <rPr>
        <b/>
        <sz val="9"/>
        <rFont val="宋体"/>
        <charset val="134"/>
        <scheme val="major"/>
      </rPr>
      <t>）</t>
    </r>
  </si>
  <si>
    <t>33=32÷5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</si>
</sst>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[Red]\-#,##0.00\ "/>
    <numFmt numFmtId="177" formatCode="#,##0.00_ "/>
  </numFmts>
  <fonts count="37">
    <font>
      <sz val="11"/>
      <color theme="1"/>
      <name val="宋体"/>
      <charset val="134"/>
      <scheme val="minor"/>
    </font>
    <font>
      <sz val="11"/>
      <name val="Arial"/>
      <charset val="134"/>
    </font>
    <font>
      <sz val="10"/>
      <name val="Arial"/>
      <charset val="134"/>
    </font>
    <font>
      <b/>
      <sz val="10"/>
      <name val="Arial"/>
      <charset val="134"/>
    </font>
    <font>
      <b/>
      <sz val="14"/>
      <name val="黑体"/>
      <charset val="134"/>
    </font>
    <font>
      <b/>
      <sz val="18"/>
      <name val="宋体"/>
      <charset val="134"/>
      <scheme val="major"/>
    </font>
    <font>
      <sz val="10"/>
      <name val="宋体"/>
      <charset val="134"/>
    </font>
    <font>
      <b/>
      <sz val="11"/>
      <name val="宋体"/>
      <charset val="134"/>
      <scheme val="major"/>
    </font>
    <font>
      <sz val="9"/>
      <name val="宋体"/>
      <charset val="134"/>
      <scheme val="major"/>
    </font>
    <font>
      <sz val="10"/>
      <name val="宋体"/>
      <charset val="134"/>
      <scheme val="major"/>
    </font>
    <font>
      <sz val="9"/>
      <name val="宋体"/>
      <charset val="134"/>
      <scheme val="minor"/>
    </font>
    <font>
      <b/>
      <sz val="9"/>
      <name val="宋体"/>
      <charset val="134"/>
      <scheme val="major"/>
    </font>
    <font>
      <b/>
      <sz val="9"/>
      <name val="宋体"/>
      <charset val="134"/>
      <scheme val="minor"/>
    </font>
    <font>
      <sz val="9"/>
      <name val="宋体"/>
      <charset val="0"/>
      <scheme val="minor"/>
    </font>
    <font>
      <b/>
      <sz val="18"/>
      <name val="Arial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9"/>
      <name val="宋体"/>
      <charset val="134"/>
      <scheme val="major"/>
    </font>
    <font>
      <b/>
      <vertAlign val="superscript"/>
      <sz val="9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43" fontId="2" fillId="0" borderId="0" xfId="1" applyFont="1" applyAlignment="1">
      <alignment horizontal="center" vertical="center"/>
    </xf>
    <xf numFmtId="176" fontId="1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43" fontId="6" fillId="0" borderId="0" xfId="1" applyFont="1" applyBorder="1" applyAlignment="1">
      <alignment horizontal="center" vertical="center"/>
    </xf>
    <xf numFmtId="43" fontId="6" fillId="0" borderId="0" xfId="1" applyFont="1" applyAlignment="1">
      <alignment horizontal="center" vertical="center"/>
    </xf>
    <xf numFmtId="43" fontId="6" fillId="0" borderId="0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43" fontId="7" fillId="0" borderId="1" xfId="1" applyFont="1" applyFill="1" applyBorder="1" applyAlignment="1">
      <alignment horizontal="center" vertical="center" shrinkToFit="1"/>
    </xf>
    <xf numFmtId="43" fontId="7" fillId="0" borderId="2" xfId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vertical="center" shrinkToFit="1"/>
    </xf>
    <xf numFmtId="0" fontId="9" fillId="0" borderId="1" xfId="0" applyFont="1" applyFill="1" applyBorder="1" applyAlignment="1">
      <alignment horizontal="center" vertical="center"/>
    </xf>
    <xf numFmtId="43" fontId="10" fillId="0" borderId="1" xfId="1" applyFont="1" applyFill="1" applyBorder="1" applyAlignment="1">
      <alignment horizontal="center" vertical="center" shrinkToFit="1"/>
    </xf>
    <xf numFmtId="10" fontId="10" fillId="0" borderId="1" xfId="3" applyNumberFormat="1" applyFont="1" applyFill="1" applyBorder="1" applyAlignment="1">
      <alignment horizontal="center" vertical="center" shrinkToFit="1"/>
    </xf>
    <xf numFmtId="43" fontId="10" fillId="0" borderId="1" xfId="3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vertical="center" shrinkToFit="1"/>
    </xf>
    <xf numFmtId="43" fontId="12" fillId="0" borderId="1" xfId="1" applyFont="1" applyFill="1" applyBorder="1" applyAlignment="1">
      <alignment horizontal="center" vertical="center" shrinkToFit="1"/>
    </xf>
    <xf numFmtId="43" fontId="13" fillId="0" borderId="1" xfId="1" applyFont="1" applyFill="1" applyBorder="1" applyAlignment="1">
      <alignment horizontal="center" vertical="center" shrinkToFit="1"/>
    </xf>
    <xf numFmtId="177" fontId="12" fillId="0" borderId="1" xfId="0" applyNumberFormat="1" applyFont="1" applyFill="1" applyBorder="1" applyAlignment="1">
      <alignment horizontal="center" vertical="center" shrinkToFit="1"/>
    </xf>
    <xf numFmtId="177" fontId="12" fillId="0" borderId="1" xfId="1" applyNumberFormat="1" applyFont="1" applyFill="1" applyBorder="1" applyAlignment="1">
      <alignment horizontal="center" vertical="center" shrinkToFit="1"/>
    </xf>
    <xf numFmtId="43" fontId="2" fillId="0" borderId="0" xfId="1" applyFont="1" applyFill="1" applyAlignment="1">
      <alignment horizontal="center" vertical="center"/>
    </xf>
    <xf numFmtId="43" fontId="2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right" vertical="center"/>
    </xf>
    <xf numFmtId="0" fontId="7" fillId="0" borderId="2" xfId="0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wrapText="1"/>
    </xf>
    <xf numFmtId="43" fontId="10" fillId="0" borderId="1" xfId="1" applyFont="1" applyFill="1" applyBorder="1" applyAlignment="1">
      <alignment vertical="center" shrinkToFit="1"/>
    </xf>
    <xf numFmtId="176" fontId="10" fillId="0" borderId="1" xfId="0" applyNumberFormat="1" applyFont="1" applyFill="1" applyBorder="1" applyAlignment="1">
      <alignment horizontal="right" vertical="center" shrinkToFit="1"/>
    </xf>
    <xf numFmtId="43" fontId="10" fillId="0" borderId="1" xfId="0" applyNumberFormat="1" applyFont="1" applyFill="1" applyBorder="1" applyAlignment="1">
      <alignment vertical="center" shrinkToFit="1"/>
    </xf>
    <xf numFmtId="0" fontId="10" fillId="0" borderId="1" xfId="0" applyFont="1" applyFill="1" applyBorder="1" applyAlignment="1">
      <alignment horizontal="center" vertical="center" shrinkToFit="1"/>
    </xf>
    <xf numFmtId="9" fontId="10" fillId="0" borderId="1" xfId="3" applyNumberFormat="1" applyFont="1" applyFill="1" applyBorder="1" applyAlignment="1">
      <alignment horizontal="center" vertical="center" shrinkToFit="1"/>
    </xf>
    <xf numFmtId="9" fontId="10" fillId="0" borderId="1" xfId="3" applyFont="1" applyFill="1" applyBorder="1" applyAlignment="1">
      <alignment horizontal="center" vertical="center" shrinkToFit="1"/>
    </xf>
    <xf numFmtId="43" fontId="10" fillId="0" borderId="1" xfId="0" applyNumberFormat="1" applyFont="1" applyFill="1" applyBorder="1" applyAlignment="1">
      <alignment horizontal="center" vertical="center" shrinkToFit="1"/>
    </xf>
    <xf numFmtId="43" fontId="12" fillId="0" borderId="1" xfId="0" applyNumberFormat="1" applyFont="1" applyFill="1" applyBorder="1" applyAlignment="1">
      <alignment vertical="center" shrinkToFit="1"/>
    </xf>
    <xf numFmtId="43" fontId="12" fillId="0" borderId="1" xfId="1" applyFont="1" applyFill="1" applyBorder="1" applyAlignment="1">
      <alignment vertical="center" shrinkToFit="1"/>
    </xf>
    <xf numFmtId="176" fontId="12" fillId="0" borderId="1" xfId="0" applyNumberFormat="1" applyFont="1" applyFill="1" applyBorder="1" applyAlignment="1">
      <alignment horizontal="right" vertical="center" shrinkToFit="1"/>
    </xf>
    <xf numFmtId="176" fontId="12" fillId="0" borderId="1" xfId="1" applyNumberFormat="1" applyFont="1" applyFill="1" applyBorder="1" applyAlignment="1">
      <alignment horizontal="right" vertical="center" shrinkToFit="1"/>
    </xf>
    <xf numFmtId="176" fontId="10" fillId="0" borderId="1" xfId="1" applyNumberFormat="1" applyFont="1" applyFill="1" applyBorder="1" applyAlignment="1">
      <alignment horizontal="right" vertical="center" shrinkToFit="1"/>
    </xf>
    <xf numFmtId="176" fontId="12" fillId="0" borderId="1" xfId="0" applyNumberFormat="1" applyFont="1" applyFill="1" applyBorder="1" applyAlignment="1">
      <alignment vertical="center"/>
    </xf>
    <xf numFmtId="176" fontId="12" fillId="0" borderId="1" xfId="1" applyNumberFormat="1" applyFont="1" applyFill="1" applyBorder="1" applyAlignment="1">
      <alignment vertical="center"/>
    </xf>
    <xf numFmtId="177" fontId="12" fillId="0" borderId="1" xfId="0" applyNumberFormat="1" applyFont="1" applyFill="1" applyBorder="1" applyAlignment="1">
      <alignment horizontal="right" vertical="center" shrinkToFit="1"/>
    </xf>
    <xf numFmtId="0" fontId="14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77" fontId="12" fillId="0" borderId="1" xfId="1" applyNumberFormat="1" applyFont="1" applyFill="1" applyBorder="1" applyAlignment="1">
      <alignment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tabSelected="1" workbookViewId="0">
      <selection activeCell="Y7" sqref="Y7"/>
    </sheetView>
  </sheetViews>
  <sheetFormatPr defaultColWidth="9" defaultRowHeight="19.5" customHeight="1"/>
  <cols>
    <col min="1" max="1" width="21" style="1" customWidth="1"/>
    <col min="2" max="2" width="0.408333333333333" style="5" hidden="1" customWidth="1"/>
    <col min="3" max="5" width="13.375" style="6" customWidth="1"/>
    <col min="6" max="6" width="13.5" style="6" customWidth="1"/>
    <col min="7" max="7" width="0.375" style="6" hidden="1" customWidth="1"/>
    <col min="8" max="11" width="12.25" style="6" hidden="1" customWidth="1"/>
    <col min="12" max="14" width="12.25" style="5" hidden="1" customWidth="1"/>
    <col min="15" max="15" width="12.25" style="1" hidden="1" customWidth="1"/>
    <col min="16" max="16" width="13.5" style="7" customWidth="1"/>
    <col min="17" max="17" width="14" style="1" customWidth="1"/>
    <col min="18" max="18" width="24.25" style="1" hidden="1" customWidth="1"/>
    <col min="19" max="19" width="12.75" style="1" hidden="1" customWidth="1"/>
    <col min="20" max="20" width="9.625" style="1" hidden="1" customWidth="1"/>
    <col min="21" max="16384" width="9" style="1"/>
  </cols>
  <sheetData>
    <row r="1" s="1" customFormat="1" customHeight="1" spans="1:16">
      <c r="A1" s="8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5"/>
      <c r="M1" s="5"/>
      <c r="N1" s="5"/>
      <c r="P1" s="7"/>
    </row>
    <row r="2" s="1" customFormat="1" ht="30" customHeight="1" spans="1:20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48"/>
      <c r="S2" s="48"/>
      <c r="T2" s="48"/>
    </row>
    <row r="3" s="1" customFormat="1" ht="21" customHeight="1" spans="1:20">
      <c r="A3" s="10"/>
      <c r="B3" s="5"/>
      <c r="C3" s="11" t="s">
        <v>2</v>
      </c>
      <c r="D3" s="12"/>
      <c r="E3" s="13"/>
      <c r="F3" s="11"/>
      <c r="G3" s="11"/>
      <c r="H3" s="11"/>
      <c r="I3" s="11"/>
      <c r="J3" s="11"/>
      <c r="K3" s="11"/>
      <c r="L3" s="11"/>
      <c r="M3" s="11"/>
      <c r="N3" s="29"/>
      <c r="O3" s="3"/>
      <c r="P3" s="30"/>
      <c r="Q3" s="49" t="s">
        <v>3</v>
      </c>
      <c r="R3" s="3"/>
      <c r="T3" s="50" t="s">
        <v>3</v>
      </c>
    </row>
    <row r="4" s="2" customFormat="1" ht="19" customHeight="1" spans="1:20">
      <c r="A4" s="14" t="s">
        <v>4</v>
      </c>
      <c r="B4" s="15" t="s">
        <v>5</v>
      </c>
      <c r="C4" s="16" t="s">
        <v>6</v>
      </c>
      <c r="D4" s="16"/>
      <c r="E4" s="16"/>
      <c r="F4" s="16"/>
      <c r="G4" s="17" t="s">
        <v>7</v>
      </c>
      <c r="H4" s="17"/>
      <c r="I4" s="17"/>
      <c r="J4" s="17"/>
      <c r="K4" s="17"/>
      <c r="L4" s="31" t="s">
        <v>8</v>
      </c>
      <c r="M4" s="31"/>
      <c r="N4" s="14"/>
      <c r="O4" s="14"/>
      <c r="P4" s="32" t="s">
        <v>9</v>
      </c>
      <c r="Q4" s="51" t="s">
        <v>10</v>
      </c>
      <c r="R4" s="52" t="s">
        <v>11</v>
      </c>
      <c r="S4" s="53"/>
      <c r="T4" s="52" t="s">
        <v>12</v>
      </c>
    </row>
    <row r="5" s="2" customFormat="1" ht="19" customHeight="1" spans="1:20">
      <c r="A5" s="14"/>
      <c r="B5" s="15"/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13</v>
      </c>
      <c r="H5" s="14" t="s">
        <v>14</v>
      </c>
      <c r="I5" s="14" t="s">
        <v>15</v>
      </c>
      <c r="J5" s="14" t="s">
        <v>17</v>
      </c>
      <c r="K5" s="16" t="s">
        <v>16</v>
      </c>
      <c r="L5" s="14" t="s">
        <v>13</v>
      </c>
      <c r="M5" s="14" t="s">
        <v>14</v>
      </c>
      <c r="N5" s="14" t="s">
        <v>15</v>
      </c>
      <c r="O5" s="14" t="s">
        <v>16</v>
      </c>
      <c r="P5" s="32"/>
      <c r="Q5" s="51"/>
      <c r="R5" s="53"/>
      <c r="S5" s="53"/>
      <c r="T5" s="53"/>
    </row>
    <row r="6" s="3" customFormat="1" ht="19" customHeight="1" spans="1:20">
      <c r="A6" s="18" t="s">
        <v>18</v>
      </c>
      <c r="B6" s="19">
        <v>1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33">
        <f t="shared" ref="O6:O8" si="0">ROUND((L6+M6+N6)/3,2)</f>
        <v>0</v>
      </c>
      <c r="P6" s="34"/>
      <c r="Q6" s="54"/>
      <c r="R6" s="55"/>
      <c r="S6" s="55"/>
      <c r="T6" s="55"/>
    </row>
    <row r="7" s="3" customFormat="1" ht="19" customHeight="1" spans="1:20">
      <c r="A7" s="18" t="s">
        <v>19</v>
      </c>
      <c r="B7" s="19">
        <v>2</v>
      </c>
      <c r="C7" s="20">
        <v>69876642</v>
      </c>
      <c r="D7" s="20">
        <v>83095002</v>
      </c>
      <c r="E7" s="20">
        <v>81422085</v>
      </c>
      <c r="F7" s="20">
        <f t="shared" ref="F7:F36" si="1">(C7+D7+E7)/3</f>
        <v>78131243</v>
      </c>
      <c r="G7" s="20"/>
      <c r="H7" s="20"/>
      <c r="I7" s="20"/>
      <c r="J7" s="20"/>
      <c r="K7" s="35">
        <f t="shared" ref="K7:K15" si="2">SUM(G7:I7)/3</f>
        <v>0</v>
      </c>
      <c r="L7" s="20">
        <f t="shared" ref="L7:L12" si="3">C7+G7</f>
        <v>69876642</v>
      </c>
      <c r="M7" s="20">
        <f t="shared" ref="M7:M12" si="4">D7+H7</f>
        <v>83095002</v>
      </c>
      <c r="N7" s="20">
        <f t="shared" ref="N7:N12" si="5">E7+I7</f>
        <v>81422085</v>
      </c>
      <c r="O7" s="33">
        <f t="shared" si="0"/>
        <v>78131243</v>
      </c>
      <c r="P7" s="34">
        <f t="shared" ref="P7:P15" si="6">Q7-F7</f>
        <v>0</v>
      </c>
      <c r="Q7" s="35">
        <f>O7</f>
        <v>78131243</v>
      </c>
      <c r="R7" s="55"/>
      <c r="S7" s="55"/>
      <c r="T7" s="55"/>
    </row>
    <row r="8" s="3" customFormat="1" ht="19" customHeight="1" spans="1:20">
      <c r="A8" s="18" t="s">
        <v>20</v>
      </c>
      <c r="B8" s="19"/>
      <c r="C8" s="20">
        <v>96868436</v>
      </c>
      <c r="D8" s="20">
        <v>104159345</v>
      </c>
      <c r="E8" s="20">
        <v>107430091</v>
      </c>
      <c r="F8" s="20">
        <f t="shared" si="1"/>
        <v>102819290.666667</v>
      </c>
      <c r="G8" s="20"/>
      <c r="H8" s="20"/>
      <c r="I8" s="20"/>
      <c r="J8" s="20"/>
      <c r="K8" s="35">
        <f t="shared" si="2"/>
        <v>0</v>
      </c>
      <c r="L8" s="20">
        <f t="shared" si="3"/>
        <v>96868436</v>
      </c>
      <c r="M8" s="20">
        <f t="shared" si="4"/>
        <v>104159345</v>
      </c>
      <c r="N8" s="20">
        <f t="shared" si="5"/>
        <v>107430091</v>
      </c>
      <c r="O8" s="33">
        <f t="shared" si="0"/>
        <v>102819290.67</v>
      </c>
      <c r="P8" s="34">
        <f t="shared" si="6"/>
        <v>0.00333333015441895</v>
      </c>
      <c r="Q8" s="35">
        <f>O8</f>
        <v>102819290.67</v>
      </c>
      <c r="R8" s="55"/>
      <c r="S8" s="55"/>
      <c r="T8" s="55"/>
    </row>
    <row r="9" s="3" customFormat="1" ht="19" customHeight="1" spans="1:20">
      <c r="A9" s="18" t="s">
        <v>21</v>
      </c>
      <c r="B9" s="19">
        <v>3</v>
      </c>
      <c r="C9" s="20"/>
      <c r="D9" s="20"/>
      <c r="E9" s="20"/>
      <c r="F9" s="20"/>
      <c r="G9" s="20"/>
      <c r="H9" s="20"/>
      <c r="I9" s="20"/>
      <c r="J9" s="20"/>
      <c r="K9" s="20"/>
      <c r="L9" s="36"/>
      <c r="M9" s="36"/>
      <c r="N9" s="36"/>
      <c r="O9" s="35"/>
      <c r="P9" s="34"/>
      <c r="Q9" s="35"/>
      <c r="R9" s="55"/>
      <c r="S9" s="55"/>
      <c r="T9" s="55"/>
    </row>
    <row r="10" s="3" customFormat="1" ht="19" customHeight="1" spans="1:20">
      <c r="A10" s="18" t="s">
        <v>22</v>
      </c>
      <c r="B10" s="19">
        <v>4</v>
      </c>
      <c r="C10" s="21">
        <v>0.1927</v>
      </c>
      <c r="D10" s="21">
        <v>0.1769</v>
      </c>
      <c r="E10" s="21">
        <v>0.1861</v>
      </c>
      <c r="F10" s="21">
        <v>0.1852</v>
      </c>
      <c r="G10" s="21">
        <f>L10-C10</f>
        <v>-0.0927</v>
      </c>
      <c r="H10" s="21">
        <f>M10-D10</f>
        <v>-0.0769</v>
      </c>
      <c r="I10" s="21">
        <f>N10-E10</f>
        <v>-0.0861</v>
      </c>
      <c r="J10" s="21">
        <f t="shared" ref="J10:J15" si="7">SUM(G10:I10)</f>
        <v>-0.2557</v>
      </c>
      <c r="K10" s="21">
        <f t="shared" si="2"/>
        <v>-0.0852333333333333</v>
      </c>
      <c r="L10" s="37">
        <v>0.1</v>
      </c>
      <c r="M10" s="38">
        <v>0.1</v>
      </c>
      <c r="N10" s="38">
        <v>0.1</v>
      </c>
      <c r="O10" s="38">
        <v>0.1</v>
      </c>
      <c r="P10" s="21">
        <f t="shared" si="6"/>
        <v>-0.0852</v>
      </c>
      <c r="Q10" s="38">
        <v>0.1</v>
      </c>
      <c r="R10" s="56" t="s">
        <v>23</v>
      </c>
      <c r="S10" s="55"/>
      <c r="T10" s="55"/>
    </row>
    <row r="11" s="3" customFormat="1" ht="19" customHeight="1" spans="1:20">
      <c r="A11" s="18" t="s">
        <v>24</v>
      </c>
      <c r="B11" s="19" t="s">
        <v>25</v>
      </c>
      <c r="C11" s="20">
        <v>69876642</v>
      </c>
      <c r="D11" s="20">
        <v>83095002</v>
      </c>
      <c r="E11" s="20">
        <v>81422085</v>
      </c>
      <c r="F11" s="20">
        <f t="shared" si="1"/>
        <v>78131243</v>
      </c>
      <c r="G11" s="22">
        <f>L11-C11</f>
        <v>17304950.4</v>
      </c>
      <c r="H11" s="22">
        <f>M11-D11</f>
        <v>10648408.5</v>
      </c>
      <c r="I11" s="22">
        <f>N11-E11</f>
        <v>15264996.9</v>
      </c>
      <c r="J11" s="22">
        <f t="shared" si="7"/>
        <v>43218355.8</v>
      </c>
      <c r="K11" s="35">
        <f t="shared" si="2"/>
        <v>14406118.6</v>
      </c>
      <c r="L11" s="39">
        <f t="shared" ref="L11:N11" si="8">L8*(1-L9)*(1-L10)</f>
        <v>87181592.4</v>
      </c>
      <c r="M11" s="39">
        <f t="shared" si="8"/>
        <v>93743410.5</v>
      </c>
      <c r="N11" s="39">
        <f t="shared" si="8"/>
        <v>96687081.9</v>
      </c>
      <c r="O11" s="33">
        <f t="shared" ref="O11:O15" si="9">ROUND((L11+M11+N11)/3,2)</f>
        <v>92537361.6</v>
      </c>
      <c r="P11" s="34">
        <f t="shared" si="6"/>
        <v>14406118.603</v>
      </c>
      <c r="Q11" s="35">
        <f>Q8*(1-Q9)*(1-Q10)</f>
        <v>92537361.603</v>
      </c>
      <c r="R11" s="56" t="s">
        <v>26</v>
      </c>
      <c r="S11" s="55"/>
      <c r="T11" s="55"/>
    </row>
    <row r="12" s="3" customFormat="1" ht="19" customHeight="1" spans="1:20">
      <c r="A12" s="18" t="s">
        <v>27</v>
      </c>
      <c r="B12" s="19">
        <v>6</v>
      </c>
      <c r="C12" s="20">
        <v>385000</v>
      </c>
      <c r="D12" s="20">
        <v>385000</v>
      </c>
      <c r="E12" s="20">
        <v>385000</v>
      </c>
      <c r="F12" s="20">
        <f t="shared" si="1"/>
        <v>385000</v>
      </c>
      <c r="G12" s="20"/>
      <c r="H12" s="20"/>
      <c r="I12" s="20"/>
      <c r="J12" s="20"/>
      <c r="K12" s="35">
        <f t="shared" si="2"/>
        <v>0</v>
      </c>
      <c r="L12" s="20">
        <f t="shared" si="3"/>
        <v>385000</v>
      </c>
      <c r="M12" s="20">
        <f t="shared" si="4"/>
        <v>385000</v>
      </c>
      <c r="N12" s="20">
        <f t="shared" si="5"/>
        <v>385000</v>
      </c>
      <c r="O12" s="33">
        <f t="shared" si="9"/>
        <v>385000</v>
      </c>
      <c r="P12" s="34">
        <f t="shared" si="6"/>
        <v>0</v>
      </c>
      <c r="Q12" s="33">
        <v>385000</v>
      </c>
      <c r="R12" s="55"/>
      <c r="S12" s="55"/>
      <c r="T12" s="55"/>
    </row>
    <row r="13" s="3" customFormat="1" ht="19" customHeight="1" spans="1:20">
      <c r="A13" s="18" t="s">
        <v>28</v>
      </c>
      <c r="B13" s="19">
        <v>7</v>
      </c>
      <c r="C13" s="20">
        <v>258681.071232877</v>
      </c>
      <c r="D13" s="20">
        <v>278794.383561644</v>
      </c>
      <c r="E13" s="20">
        <v>285370.17260274</v>
      </c>
      <c r="F13" s="20">
        <f t="shared" si="1"/>
        <v>274281.875799087</v>
      </c>
      <c r="G13" s="20"/>
      <c r="H13" s="20"/>
      <c r="I13" s="20"/>
      <c r="J13" s="20"/>
      <c r="K13" s="35">
        <f t="shared" si="2"/>
        <v>0</v>
      </c>
      <c r="L13" s="39">
        <v>258681.071232877</v>
      </c>
      <c r="M13" s="39">
        <v>278794.383561644</v>
      </c>
      <c r="N13" s="39">
        <v>285370.17260274</v>
      </c>
      <c r="O13" s="33">
        <f t="shared" si="9"/>
        <v>274281.88</v>
      </c>
      <c r="P13" s="34">
        <f t="shared" si="6"/>
        <v>0.00420091301202774</v>
      </c>
      <c r="Q13" s="33">
        <v>274281.88</v>
      </c>
      <c r="R13" s="55"/>
      <c r="S13" s="55"/>
      <c r="T13" s="55"/>
    </row>
    <row r="14" s="4" customFormat="1" ht="19" customHeight="1" spans="1:20">
      <c r="A14" s="23" t="s">
        <v>29</v>
      </c>
      <c r="B14" s="19">
        <v>8</v>
      </c>
      <c r="C14" s="24">
        <v>33446517.15</v>
      </c>
      <c r="D14" s="24">
        <v>33794750.22</v>
      </c>
      <c r="E14" s="24">
        <v>55245298.44</v>
      </c>
      <c r="F14" s="24">
        <f t="shared" si="1"/>
        <v>40828855.27</v>
      </c>
      <c r="G14" s="24">
        <v>-5799613.34</v>
      </c>
      <c r="H14" s="24">
        <v>-5938392.6968625</v>
      </c>
      <c r="I14" s="24">
        <v>-15772154.6417042</v>
      </c>
      <c r="J14" s="24">
        <f t="shared" si="7"/>
        <v>-27510160.6785667</v>
      </c>
      <c r="K14" s="40">
        <f t="shared" si="2"/>
        <v>-9170053.55952223</v>
      </c>
      <c r="L14" s="24">
        <f t="shared" ref="L14:L21" si="10">C14+G14</f>
        <v>27646903.81</v>
      </c>
      <c r="M14" s="24">
        <f t="shared" ref="M14:M21" si="11">D14+H14</f>
        <v>27856357.5231375</v>
      </c>
      <c r="N14" s="24">
        <f t="shared" ref="N14:N21" si="12">E14+I14</f>
        <v>39473143.7982958</v>
      </c>
      <c r="O14" s="41">
        <f t="shared" si="9"/>
        <v>31658801.71</v>
      </c>
      <c r="P14" s="42">
        <f t="shared" si="6"/>
        <v>-9170053.56</v>
      </c>
      <c r="Q14" s="41">
        <f t="shared" ref="Q14:Q19" si="13">O14</f>
        <v>31658801.71</v>
      </c>
      <c r="R14" s="56" t="s">
        <v>30</v>
      </c>
      <c r="S14" s="57"/>
      <c r="T14" s="56" t="s">
        <v>31</v>
      </c>
    </row>
    <row r="15" s="4" customFormat="1" ht="19" customHeight="1" spans="1:20">
      <c r="A15" s="23" t="s">
        <v>32</v>
      </c>
      <c r="B15" s="19">
        <v>9</v>
      </c>
      <c r="C15" s="24">
        <v>687645.12</v>
      </c>
      <c r="D15" s="24">
        <v>687645.12</v>
      </c>
      <c r="E15" s="24">
        <v>687645.11</v>
      </c>
      <c r="F15" s="24">
        <f t="shared" si="1"/>
        <v>687645.116666667</v>
      </c>
      <c r="G15" s="24">
        <v>-343822.56</v>
      </c>
      <c r="H15" s="24">
        <v>-343822.56</v>
      </c>
      <c r="I15" s="24">
        <v>796502.52</v>
      </c>
      <c r="J15" s="24">
        <f t="shared" si="7"/>
        <v>108857.4</v>
      </c>
      <c r="K15" s="40">
        <f t="shared" si="2"/>
        <v>36285.8</v>
      </c>
      <c r="L15" s="24">
        <f t="shared" si="10"/>
        <v>343822.56</v>
      </c>
      <c r="M15" s="24">
        <f t="shared" si="11"/>
        <v>343822.56</v>
      </c>
      <c r="N15" s="24">
        <f t="shared" si="12"/>
        <v>1484147.63</v>
      </c>
      <c r="O15" s="41">
        <f t="shared" si="9"/>
        <v>723930.92</v>
      </c>
      <c r="P15" s="42">
        <f t="shared" si="6"/>
        <v>36285.8033333333</v>
      </c>
      <c r="Q15" s="41">
        <f t="shared" si="13"/>
        <v>723930.92</v>
      </c>
      <c r="R15" s="56" t="s">
        <v>33</v>
      </c>
      <c r="S15" s="57"/>
      <c r="T15" s="56" t="s">
        <v>31</v>
      </c>
    </row>
    <row r="16" s="4" customFormat="1" ht="19" customHeight="1" spans="1:20">
      <c r="A16" s="23" t="s">
        <v>34</v>
      </c>
      <c r="B16" s="19" t="s">
        <v>35</v>
      </c>
      <c r="C16" s="24">
        <f>C17+C18+C19+C20+C21+C22+C31</f>
        <v>117944020.870922</v>
      </c>
      <c r="D16" s="24">
        <f>D17+D18+D19+D20+D21+D22+D31</f>
        <v>132524418.172197</v>
      </c>
      <c r="E16" s="24">
        <f>E17+E18+E19+E20+E21+E22+E31</f>
        <v>137249530.229961</v>
      </c>
      <c r="F16" s="24">
        <f t="shared" si="1"/>
        <v>129239323.091026</v>
      </c>
      <c r="G16" s="24">
        <f t="shared" ref="G16:Q16" si="14">SUM(G17:G22,G31)</f>
        <v>-1359847.23</v>
      </c>
      <c r="H16" s="24">
        <f t="shared" si="14"/>
        <v>-6922640.21</v>
      </c>
      <c r="I16" s="24">
        <f t="shared" si="14"/>
        <v>3284037.1</v>
      </c>
      <c r="J16" s="24">
        <f t="shared" si="14"/>
        <v>-4998450.34</v>
      </c>
      <c r="K16" s="24">
        <f t="shared" si="14"/>
        <v>-1666150.11333333</v>
      </c>
      <c r="L16" s="24">
        <f t="shared" si="14"/>
        <v>116584173.640922</v>
      </c>
      <c r="M16" s="24">
        <f t="shared" si="14"/>
        <v>125601777.962197</v>
      </c>
      <c r="N16" s="24">
        <f t="shared" si="14"/>
        <v>140533567.329961</v>
      </c>
      <c r="O16" s="24">
        <f t="shared" si="14"/>
        <v>127573172.98</v>
      </c>
      <c r="P16" s="43">
        <f t="shared" si="14"/>
        <v>3578736.53560083</v>
      </c>
      <c r="Q16" s="24">
        <f t="shared" si="14"/>
        <v>132818059.619961</v>
      </c>
      <c r="R16" s="55"/>
      <c r="S16" s="57"/>
      <c r="T16" s="57"/>
    </row>
    <row r="17" s="3" customFormat="1" ht="19" customHeight="1" spans="1:20">
      <c r="A17" s="18" t="s">
        <v>36</v>
      </c>
      <c r="B17" s="19">
        <v>11</v>
      </c>
      <c r="C17" s="20">
        <v>2472224.2</v>
      </c>
      <c r="D17" s="20">
        <v>3036427.9</v>
      </c>
      <c r="E17" s="20">
        <v>3026522.25</v>
      </c>
      <c r="F17" s="20">
        <f t="shared" si="1"/>
        <v>2845058.11666667</v>
      </c>
      <c r="G17" s="20"/>
      <c r="H17" s="20"/>
      <c r="I17" s="20"/>
      <c r="J17" s="20">
        <f t="shared" ref="J17:J21" si="15">SUM(G17:I17)</f>
        <v>0</v>
      </c>
      <c r="K17" s="35">
        <f t="shared" ref="K17:K21" si="16">SUM(G17:I17)/3</f>
        <v>0</v>
      </c>
      <c r="L17" s="20">
        <f t="shared" si="10"/>
        <v>2472224.2</v>
      </c>
      <c r="M17" s="20">
        <f t="shared" si="11"/>
        <v>3036427.9</v>
      </c>
      <c r="N17" s="20">
        <f t="shared" si="12"/>
        <v>3026522.25</v>
      </c>
      <c r="O17" s="33">
        <f t="shared" ref="O17:O21" si="17">ROUND((L17+M17+N17)/3,2)</f>
        <v>2845058.12</v>
      </c>
      <c r="P17" s="44">
        <f t="shared" ref="P17:P21" si="18">Q17-F17</f>
        <v>181464.133333333</v>
      </c>
      <c r="Q17" s="33">
        <f>N17</f>
        <v>3026522.25</v>
      </c>
      <c r="R17" s="56" t="s">
        <v>37</v>
      </c>
      <c r="S17" s="55"/>
      <c r="T17" s="56" t="s">
        <v>38</v>
      </c>
    </row>
    <row r="18" s="3" customFormat="1" ht="19" customHeight="1" spans="1:20">
      <c r="A18" s="18" t="s">
        <v>39</v>
      </c>
      <c r="B18" s="19">
        <v>12</v>
      </c>
      <c r="C18" s="20">
        <v>4468028.95</v>
      </c>
      <c r="D18" s="20">
        <v>4610012.34</v>
      </c>
      <c r="E18" s="20">
        <v>6781959.03</v>
      </c>
      <c r="F18" s="20">
        <f t="shared" si="1"/>
        <v>5286666.77333333</v>
      </c>
      <c r="G18" s="20"/>
      <c r="H18" s="20"/>
      <c r="I18" s="20"/>
      <c r="J18" s="20">
        <f t="shared" si="15"/>
        <v>0</v>
      </c>
      <c r="K18" s="35">
        <f t="shared" si="16"/>
        <v>0</v>
      </c>
      <c r="L18" s="20">
        <f t="shared" si="10"/>
        <v>4468028.95</v>
      </c>
      <c r="M18" s="20">
        <f t="shared" si="11"/>
        <v>4610012.34</v>
      </c>
      <c r="N18" s="20">
        <f t="shared" si="12"/>
        <v>6781959.03</v>
      </c>
      <c r="O18" s="33">
        <f t="shared" si="17"/>
        <v>5286666.77</v>
      </c>
      <c r="P18" s="44">
        <v>0</v>
      </c>
      <c r="Q18" s="33">
        <f t="shared" si="13"/>
        <v>5286666.77</v>
      </c>
      <c r="R18" s="55"/>
      <c r="S18" s="55"/>
      <c r="T18" s="56" t="s">
        <v>31</v>
      </c>
    </row>
    <row r="19" s="3" customFormat="1" ht="19" customHeight="1" spans="1:20">
      <c r="A19" s="18" t="s">
        <v>40</v>
      </c>
      <c r="B19" s="19">
        <v>13</v>
      </c>
      <c r="C19" s="20">
        <v>19233597.89</v>
      </c>
      <c r="D19" s="20">
        <v>20512192.59</v>
      </c>
      <c r="E19" s="20">
        <v>23309817.47</v>
      </c>
      <c r="F19" s="20">
        <f t="shared" si="1"/>
        <v>21018535.9833333</v>
      </c>
      <c r="G19" s="20"/>
      <c r="H19" s="20"/>
      <c r="I19" s="20"/>
      <c r="J19" s="20">
        <f t="shared" si="15"/>
        <v>0</v>
      </c>
      <c r="K19" s="35">
        <f t="shared" si="16"/>
        <v>0</v>
      </c>
      <c r="L19" s="20">
        <f t="shared" si="10"/>
        <v>19233597.89</v>
      </c>
      <c r="M19" s="20">
        <f t="shared" si="11"/>
        <v>20512192.59</v>
      </c>
      <c r="N19" s="20">
        <f t="shared" si="12"/>
        <v>23309817.47</v>
      </c>
      <c r="O19" s="33">
        <f t="shared" si="17"/>
        <v>21018535.98</v>
      </c>
      <c r="P19" s="44">
        <v>0</v>
      </c>
      <c r="Q19" s="33">
        <f t="shared" si="13"/>
        <v>21018535.98</v>
      </c>
      <c r="R19" s="55"/>
      <c r="S19" s="55"/>
      <c r="T19" s="56" t="s">
        <v>31</v>
      </c>
    </row>
    <row r="20" s="3" customFormat="1" ht="19" customHeight="1" spans="1:20">
      <c r="A20" s="18" t="s">
        <v>41</v>
      </c>
      <c r="B20" s="19">
        <v>14</v>
      </c>
      <c r="C20" s="20">
        <v>3430469.8</v>
      </c>
      <c r="D20" s="20">
        <v>3551104.6</v>
      </c>
      <c r="E20" s="20">
        <v>4839567.44</v>
      </c>
      <c r="F20" s="20">
        <f t="shared" si="1"/>
        <v>3940380.61333333</v>
      </c>
      <c r="G20" s="20"/>
      <c r="H20" s="20"/>
      <c r="I20" s="20"/>
      <c r="J20" s="20">
        <f t="shared" si="15"/>
        <v>0</v>
      </c>
      <c r="K20" s="35">
        <f t="shared" si="16"/>
        <v>0</v>
      </c>
      <c r="L20" s="20">
        <f t="shared" si="10"/>
        <v>3430469.8</v>
      </c>
      <c r="M20" s="20">
        <f t="shared" si="11"/>
        <v>3551104.6</v>
      </c>
      <c r="N20" s="20">
        <f t="shared" si="12"/>
        <v>4839567.44</v>
      </c>
      <c r="O20" s="33">
        <f t="shared" si="17"/>
        <v>3940380.61</v>
      </c>
      <c r="P20" s="44">
        <f t="shared" si="18"/>
        <v>899186.826666667</v>
      </c>
      <c r="Q20" s="33">
        <f t="shared" ref="Q20:Q30" si="19">N20</f>
        <v>4839567.44</v>
      </c>
      <c r="R20" s="56" t="s">
        <v>37</v>
      </c>
      <c r="S20" s="55"/>
      <c r="T20" s="56" t="s">
        <v>38</v>
      </c>
    </row>
    <row r="21" s="3" customFormat="1" ht="19" customHeight="1" spans="1:20">
      <c r="A21" s="18" t="s">
        <v>42</v>
      </c>
      <c r="B21" s="19">
        <v>15</v>
      </c>
      <c r="C21" s="20">
        <v>7884156.35</v>
      </c>
      <c r="D21" s="20">
        <v>11083429.4</v>
      </c>
      <c r="E21" s="20">
        <v>14699534.8</v>
      </c>
      <c r="F21" s="20">
        <f t="shared" si="1"/>
        <v>11222373.5166667</v>
      </c>
      <c r="G21" s="20"/>
      <c r="H21" s="20"/>
      <c r="I21" s="20"/>
      <c r="J21" s="20">
        <f t="shared" si="15"/>
        <v>0</v>
      </c>
      <c r="K21" s="35">
        <f t="shared" si="16"/>
        <v>0</v>
      </c>
      <c r="L21" s="20">
        <f t="shared" si="10"/>
        <v>7884156.35</v>
      </c>
      <c r="M21" s="20">
        <f t="shared" si="11"/>
        <v>11083429.4</v>
      </c>
      <c r="N21" s="20">
        <f t="shared" si="12"/>
        <v>14699534.8</v>
      </c>
      <c r="O21" s="33">
        <f t="shared" si="17"/>
        <v>11222373.52</v>
      </c>
      <c r="P21" s="44">
        <f t="shared" si="18"/>
        <v>0.00333333387970924</v>
      </c>
      <c r="Q21" s="33">
        <f>O21</f>
        <v>11222373.52</v>
      </c>
      <c r="R21" s="55"/>
      <c r="S21" s="55"/>
      <c r="T21" s="56" t="s">
        <v>31</v>
      </c>
    </row>
    <row r="22" s="3" customFormat="1" ht="19" customHeight="1" spans="1:20">
      <c r="A22" s="18" t="s">
        <v>43</v>
      </c>
      <c r="B22" s="19">
        <v>16</v>
      </c>
      <c r="C22" s="20">
        <f>C23+C24+C25+C26+C27+C28+C29+C30</f>
        <v>60914098.1009221</v>
      </c>
      <c r="D22" s="20">
        <v>64161773.3821967</v>
      </c>
      <c r="E22" s="20">
        <v>68689898.0899606</v>
      </c>
      <c r="F22" s="20">
        <f t="shared" si="1"/>
        <v>64588589.8576931</v>
      </c>
      <c r="G22" s="20">
        <f t="shared" ref="G22:Q22" si="20">SUM(G23:G30)</f>
        <v>-95879.4</v>
      </c>
      <c r="H22" s="20">
        <f t="shared" si="20"/>
        <v>-111614</v>
      </c>
      <c r="I22" s="20">
        <f t="shared" si="20"/>
        <v>-121476</v>
      </c>
      <c r="J22" s="20">
        <f t="shared" si="20"/>
        <v>-328969.4</v>
      </c>
      <c r="K22" s="20">
        <f t="shared" si="20"/>
        <v>-109656.466666667</v>
      </c>
      <c r="L22" s="20">
        <f t="shared" si="20"/>
        <v>60818218.7009221</v>
      </c>
      <c r="M22" s="20">
        <f t="shared" si="20"/>
        <v>64050159.3821967</v>
      </c>
      <c r="N22" s="20">
        <f t="shared" si="20"/>
        <v>68568422.0899607</v>
      </c>
      <c r="O22" s="20">
        <f t="shared" si="20"/>
        <v>64478933.4</v>
      </c>
      <c r="P22" s="20">
        <f t="shared" si="20"/>
        <v>3979832.23226749</v>
      </c>
      <c r="Q22" s="20">
        <f t="shared" si="20"/>
        <v>68568422.0899607</v>
      </c>
      <c r="R22" s="56" t="s">
        <v>37</v>
      </c>
      <c r="S22" s="55"/>
      <c r="T22" s="56" t="s">
        <v>38</v>
      </c>
    </row>
    <row r="23" s="3" customFormat="1" ht="19" customHeight="1" spans="1:20">
      <c r="A23" s="18" t="s">
        <v>44</v>
      </c>
      <c r="B23" s="19">
        <v>17</v>
      </c>
      <c r="C23" s="20">
        <v>38760774.1</v>
      </c>
      <c r="D23" s="20">
        <v>39918659.35</v>
      </c>
      <c r="E23" s="20">
        <v>42296073.72</v>
      </c>
      <c r="F23" s="20">
        <f t="shared" si="1"/>
        <v>40325169.0566667</v>
      </c>
      <c r="G23" s="20">
        <v>-95879.4</v>
      </c>
      <c r="H23" s="20">
        <v>-111614</v>
      </c>
      <c r="I23" s="20">
        <v>-121476</v>
      </c>
      <c r="J23" s="20">
        <f t="shared" ref="J23:J30" si="21">SUM(G23:I23)</f>
        <v>-328969.4</v>
      </c>
      <c r="K23" s="35">
        <f t="shared" ref="K23:K30" si="22">SUM(G23:I23)/3</f>
        <v>-109656.466666667</v>
      </c>
      <c r="L23" s="20">
        <f t="shared" ref="L23:L30" si="23">C23+G23</f>
        <v>38664894.7</v>
      </c>
      <c r="M23" s="20">
        <f t="shared" ref="M23:M30" si="24">D23+H23</f>
        <v>39807045.35</v>
      </c>
      <c r="N23" s="20">
        <f t="shared" ref="N23:N30" si="25">E23+I23</f>
        <v>42174597.72</v>
      </c>
      <c r="O23" s="33">
        <f t="shared" ref="O23:O30" si="26">ROUND((L23+M23+N23)/3,2)</f>
        <v>40215512.59</v>
      </c>
      <c r="P23" s="34">
        <f t="shared" ref="P23:P30" si="27">Q23-F23</f>
        <v>1849428.66333333</v>
      </c>
      <c r="Q23" s="33">
        <f t="shared" si="19"/>
        <v>42174597.72</v>
      </c>
      <c r="R23" s="55"/>
      <c r="S23" s="55"/>
      <c r="T23" s="55"/>
    </row>
    <row r="24" s="3" customFormat="1" ht="19" customHeight="1" spans="1:20">
      <c r="A24" s="18" t="s">
        <v>45</v>
      </c>
      <c r="B24" s="19">
        <v>18</v>
      </c>
      <c r="C24" s="20">
        <v>2117077.01</v>
      </c>
      <c r="D24" s="20">
        <v>2549165.89</v>
      </c>
      <c r="E24" s="20">
        <v>2740841.43</v>
      </c>
      <c r="F24" s="20">
        <f t="shared" si="1"/>
        <v>2469028.11</v>
      </c>
      <c r="G24" s="20"/>
      <c r="H24" s="20"/>
      <c r="I24" s="20"/>
      <c r="J24" s="20">
        <f t="shared" si="21"/>
        <v>0</v>
      </c>
      <c r="K24" s="35"/>
      <c r="L24" s="20">
        <f t="shared" si="23"/>
        <v>2117077.01</v>
      </c>
      <c r="M24" s="20">
        <f t="shared" si="24"/>
        <v>2549165.89</v>
      </c>
      <c r="N24" s="20">
        <f t="shared" si="25"/>
        <v>2740841.43</v>
      </c>
      <c r="O24" s="33">
        <f t="shared" si="26"/>
        <v>2469028.11</v>
      </c>
      <c r="P24" s="34">
        <f t="shared" si="27"/>
        <v>271813.32</v>
      </c>
      <c r="Q24" s="33">
        <f t="shared" si="19"/>
        <v>2740841.43</v>
      </c>
      <c r="R24" s="55"/>
      <c r="S24" s="55"/>
      <c r="T24" s="55"/>
    </row>
    <row r="25" s="3" customFormat="1" ht="19" customHeight="1" spans="1:20">
      <c r="A25" s="18" t="s">
        <v>46</v>
      </c>
      <c r="B25" s="19">
        <v>19</v>
      </c>
      <c r="C25" s="25">
        <v>10270402.21125</v>
      </c>
      <c r="D25" s="20">
        <v>10989282.12</v>
      </c>
      <c r="E25" s="20">
        <v>11886353.17</v>
      </c>
      <c r="F25" s="20">
        <f t="shared" si="1"/>
        <v>11048679.1670833</v>
      </c>
      <c r="G25" s="20"/>
      <c r="H25" s="20"/>
      <c r="I25" s="20"/>
      <c r="J25" s="20">
        <f t="shared" si="21"/>
        <v>0</v>
      </c>
      <c r="K25" s="35">
        <f t="shared" si="22"/>
        <v>0</v>
      </c>
      <c r="L25" s="20">
        <f t="shared" si="23"/>
        <v>10270402.21125</v>
      </c>
      <c r="M25" s="20">
        <f t="shared" si="24"/>
        <v>10989282.12</v>
      </c>
      <c r="N25" s="20">
        <f t="shared" si="25"/>
        <v>11886353.17</v>
      </c>
      <c r="O25" s="33">
        <f t="shared" si="26"/>
        <v>11048679.17</v>
      </c>
      <c r="P25" s="34">
        <f t="shared" si="27"/>
        <v>837674.002916668</v>
      </c>
      <c r="Q25" s="33">
        <f t="shared" si="19"/>
        <v>11886353.17</v>
      </c>
      <c r="R25" s="55"/>
      <c r="S25" s="55"/>
      <c r="T25" s="55"/>
    </row>
    <row r="26" s="3" customFormat="1" ht="19" customHeight="1" spans="1:20">
      <c r="A26" s="18" t="s">
        <v>47</v>
      </c>
      <c r="B26" s="19">
        <v>20</v>
      </c>
      <c r="C26" s="20">
        <v>3934858</v>
      </c>
      <c r="D26" s="20">
        <v>4242458</v>
      </c>
      <c r="E26" s="20">
        <v>4405208</v>
      </c>
      <c r="F26" s="20">
        <f t="shared" si="1"/>
        <v>4194174.66666667</v>
      </c>
      <c r="G26" s="20"/>
      <c r="H26" s="20"/>
      <c r="I26" s="20"/>
      <c r="J26" s="20">
        <f t="shared" si="21"/>
        <v>0</v>
      </c>
      <c r="K26" s="35">
        <f t="shared" si="22"/>
        <v>0</v>
      </c>
      <c r="L26" s="20">
        <f t="shared" si="23"/>
        <v>3934858</v>
      </c>
      <c r="M26" s="20">
        <f t="shared" si="24"/>
        <v>4242458</v>
      </c>
      <c r="N26" s="20">
        <f t="shared" si="25"/>
        <v>4405208</v>
      </c>
      <c r="O26" s="33">
        <f t="shared" si="26"/>
        <v>4194174.67</v>
      </c>
      <c r="P26" s="34">
        <f t="shared" si="27"/>
        <v>211033.333333333</v>
      </c>
      <c r="Q26" s="33">
        <f t="shared" si="19"/>
        <v>4405208</v>
      </c>
      <c r="R26" s="55"/>
      <c r="S26" s="55"/>
      <c r="T26" s="55"/>
    </row>
    <row r="27" s="3" customFormat="1" ht="19" customHeight="1" spans="1:20">
      <c r="A27" s="18" t="s">
        <v>48</v>
      </c>
      <c r="B27" s="19">
        <v>21</v>
      </c>
      <c r="C27" s="20">
        <v>2953009.34967213</v>
      </c>
      <c r="D27" s="20">
        <v>3158888.41219672</v>
      </c>
      <c r="E27" s="20">
        <v>3253474.53996066</v>
      </c>
      <c r="F27" s="20">
        <f t="shared" si="1"/>
        <v>3121790.7672765</v>
      </c>
      <c r="G27" s="20"/>
      <c r="H27" s="20"/>
      <c r="I27" s="20"/>
      <c r="J27" s="20">
        <f t="shared" si="21"/>
        <v>0</v>
      </c>
      <c r="K27" s="35">
        <f t="shared" si="22"/>
        <v>0</v>
      </c>
      <c r="L27" s="20">
        <f t="shared" si="23"/>
        <v>2953009.34967213</v>
      </c>
      <c r="M27" s="20">
        <f t="shared" si="24"/>
        <v>3158888.41219672</v>
      </c>
      <c r="N27" s="20">
        <f t="shared" si="25"/>
        <v>3253474.53996066</v>
      </c>
      <c r="O27" s="33">
        <f t="shared" si="26"/>
        <v>3121790.77</v>
      </c>
      <c r="P27" s="34">
        <f t="shared" si="27"/>
        <v>131683.772684157</v>
      </c>
      <c r="Q27" s="33">
        <f t="shared" si="19"/>
        <v>3253474.53996066</v>
      </c>
      <c r="R27" s="55"/>
      <c r="S27" s="55"/>
      <c r="T27" s="55"/>
    </row>
    <row r="28" s="3" customFormat="1" ht="19" customHeight="1" spans="1:20">
      <c r="A28" s="18" t="s">
        <v>49</v>
      </c>
      <c r="B28" s="19">
        <v>22</v>
      </c>
      <c r="C28" s="20">
        <v>730769.37</v>
      </c>
      <c r="D28" s="20">
        <v>752421.33</v>
      </c>
      <c r="E28" s="20">
        <v>792328.01</v>
      </c>
      <c r="F28" s="20">
        <f t="shared" si="1"/>
        <v>758506.236666667</v>
      </c>
      <c r="G28" s="20"/>
      <c r="H28" s="20"/>
      <c r="I28" s="20"/>
      <c r="J28" s="20">
        <f t="shared" si="21"/>
        <v>0</v>
      </c>
      <c r="K28" s="35">
        <f t="shared" si="22"/>
        <v>0</v>
      </c>
      <c r="L28" s="20">
        <f t="shared" si="23"/>
        <v>730769.37</v>
      </c>
      <c r="M28" s="20">
        <f t="shared" si="24"/>
        <v>752421.33</v>
      </c>
      <c r="N28" s="20">
        <f t="shared" si="25"/>
        <v>792328.01</v>
      </c>
      <c r="O28" s="33">
        <f t="shared" si="26"/>
        <v>758506.24</v>
      </c>
      <c r="P28" s="34">
        <f t="shared" si="27"/>
        <v>33821.7733333333</v>
      </c>
      <c r="Q28" s="33">
        <f t="shared" si="19"/>
        <v>792328.01</v>
      </c>
      <c r="R28" s="55"/>
      <c r="S28" s="55"/>
      <c r="T28" s="55"/>
    </row>
    <row r="29" s="3" customFormat="1" ht="19" customHeight="1" spans="1:20">
      <c r="A29" s="18" t="s">
        <v>50</v>
      </c>
      <c r="B29" s="19">
        <v>23</v>
      </c>
      <c r="C29" s="20">
        <v>26461</v>
      </c>
      <c r="D29" s="20">
        <v>63546.48</v>
      </c>
      <c r="E29" s="20">
        <v>9620</v>
      </c>
      <c r="F29" s="20">
        <f t="shared" si="1"/>
        <v>33209.16</v>
      </c>
      <c r="G29" s="20"/>
      <c r="H29" s="20"/>
      <c r="I29" s="20"/>
      <c r="J29" s="20">
        <f t="shared" si="21"/>
        <v>0</v>
      </c>
      <c r="K29" s="35">
        <f t="shared" si="22"/>
        <v>0</v>
      </c>
      <c r="L29" s="20">
        <f t="shared" si="23"/>
        <v>26461</v>
      </c>
      <c r="M29" s="20">
        <f t="shared" si="24"/>
        <v>63546.48</v>
      </c>
      <c r="N29" s="20">
        <f t="shared" si="25"/>
        <v>9620</v>
      </c>
      <c r="O29" s="33">
        <f t="shared" si="26"/>
        <v>33209.16</v>
      </c>
      <c r="P29" s="34">
        <f t="shared" si="27"/>
        <v>-23589.16</v>
      </c>
      <c r="Q29" s="33">
        <f t="shared" si="19"/>
        <v>9620</v>
      </c>
      <c r="R29" s="55"/>
      <c r="S29" s="55"/>
      <c r="T29" s="55"/>
    </row>
    <row r="30" s="3" customFormat="1" ht="19" customHeight="1" spans="1:20">
      <c r="A30" s="18" t="s">
        <v>51</v>
      </c>
      <c r="B30" s="19">
        <v>24</v>
      </c>
      <c r="C30" s="20">
        <v>2120747.06</v>
      </c>
      <c r="D30" s="20">
        <v>2487351.8</v>
      </c>
      <c r="E30" s="20">
        <v>3305999.22</v>
      </c>
      <c r="F30" s="20">
        <f t="shared" si="1"/>
        <v>2638032.69333333</v>
      </c>
      <c r="G30" s="20"/>
      <c r="H30" s="20"/>
      <c r="I30" s="20"/>
      <c r="J30" s="20">
        <f t="shared" si="21"/>
        <v>0</v>
      </c>
      <c r="K30" s="35">
        <f t="shared" si="22"/>
        <v>0</v>
      </c>
      <c r="L30" s="20">
        <f t="shared" si="23"/>
        <v>2120747.06</v>
      </c>
      <c r="M30" s="20">
        <f t="shared" si="24"/>
        <v>2487351.8</v>
      </c>
      <c r="N30" s="20">
        <f t="shared" si="25"/>
        <v>3305999.22</v>
      </c>
      <c r="O30" s="33">
        <f t="shared" si="26"/>
        <v>2638032.69</v>
      </c>
      <c r="P30" s="34">
        <f t="shared" si="27"/>
        <v>667966.526666667</v>
      </c>
      <c r="Q30" s="33">
        <f t="shared" si="19"/>
        <v>3305999.22</v>
      </c>
      <c r="R30" s="55"/>
      <c r="S30" s="55"/>
      <c r="T30" s="55"/>
    </row>
    <row r="31" s="3" customFormat="1" ht="19" customHeight="1" spans="1:20">
      <c r="A31" s="18" t="s">
        <v>52</v>
      </c>
      <c r="B31" s="19">
        <v>26</v>
      </c>
      <c r="C31" s="20">
        <v>19541445.58</v>
      </c>
      <c r="D31" s="20">
        <v>25569477.96</v>
      </c>
      <c r="E31" s="20">
        <v>15902231.15</v>
      </c>
      <c r="F31" s="20">
        <f t="shared" si="1"/>
        <v>20337718.23</v>
      </c>
      <c r="G31" s="20">
        <f t="shared" ref="G31:Q31" si="28">SUM(G32:G35)</f>
        <v>-1263967.83</v>
      </c>
      <c r="H31" s="20">
        <f t="shared" si="28"/>
        <v>-6811026.21</v>
      </c>
      <c r="I31" s="20">
        <f t="shared" si="28"/>
        <v>3405513.1</v>
      </c>
      <c r="J31" s="20">
        <f t="shared" si="28"/>
        <v>-4669480.94</v>
      </c>
      <c r="K31" s="20">
        <f t="shared" si="28"/>
        <v>-1556493.64666667</v>
      </c>
      <c r="L31" s="20">
        <f t="shared" si="28"/>
        <v>18277477.75</v>
      </c>
      <c r="M31" s="20">
        <f t="shared" si="28"/>
        <v>18758451.75</v>
      </c>
      <c r="N31" s="20">
        <f t="shared" si="28"/>
        <v>19307744.25</v>
      </c>
      <c r="O31" s="20">
        <f t="shared" si="28"/>
        <v>18781224.58</v>
      </c>
      <c r="P31" s="44">
        <f t="shared" si="28"/>
        <v>-1481746.66</v>
      </c>
      <c r="Q31" s="20">
        <f t="shared" si="28"/>
        <v>18855971.57</v>
      </c>
      <c r="R31" s="55"/>
      <c r="S31" s="55"/>
      <c r="T31" s="55"/>
    </row>
    <row r="32" s="3" customFormat="1" ht="19" customHeight="1" spans="1:20">
      <c r="A32" s="18" t="s">
        <v>53</v>
      </c>
      <c r="B32" s="19">
        <v>27</v>
      </c>
      <c r="C32" s="20">
        <v>4885201.41</v>
      </c>
      <c r="D32" s="20">
        <v>14851010.37</v>
      </c>
      <c r="E32" s="20">
        <v>4097228.99</v>
      </c>
      <c r="F32" s="20">
        <f t="shared" si="1"/>
        <v>7944480.25666667</v>
      </c>
      <c r="G32" s="20">
        <v>3405513.11</v>
      </c>
      <c r="H32" s="20">
        <v>-6811026.21</v>
      </c>
      <c r="I32" s="20">
        <v>3405513.1</v>
      </c>
      <c r="J32" s="20">
        <f t="shared" ref="J32:J36" si="29">SUM(G32:I32)</f>
        <v>0</v>
      </c>
      <c r="K32" s="35">
        <f t="shared" ref="K32:K36" si="30">SUM(G32:I32)/3</f>
        <v>0</v>
      </c>
      <c r="L32" s="20">
        <f t="shared" ref="L32:L35" si="31">C32+G32</f>
        <v>8290714.52</v>
      </c>
      <c r="M32" s="20">
        <f t="shared" ref="M32:M35" si="32">D32+H32</f>
        <v>8039984.16</v>
      </c>
      <c r="N32" s="20">
        <f t="shared" ref="N32:N35" si="33">E32+I32</f>
        <v>7502742.09</v>
      </c>
      <c r="O32" s="33">
        <f t="shared" ref="O32:O35" si="34">ROUND((L32+M32+N32)/3,2)</f>
        <v>7944480.26</v>
      </c>
      <c r="P32" s="34"/>
      <c r="Q32" s="33">
        <f t="shared" ref="Q32:Q35" si="35">O32</f>
        <v>7944480.26</v>
      </c>
      <c r="R32" s="55"/>
      <c r="S32" s="55"/>
      <c r="T32" s="56" t="s">
        <v>31</v>
      </c>
    </row>
    <row r="33" s="3" customFormat="1" ht="19" customHeight="1" spans="1:20">
      <c r="A33" s="18" t="s">
        <v>54</v>
      </c>
      <c r="B33" s="19">
        <v>28</v>
      </c>
      <c r="C33" s="20">
        <v>7534326.47</v>
      </c>
      <c r="D33" s="20">
        <v>7024433.66</v>
      </c>
      <c r="E33" s="20">
        <v>7711244.46</v>
      </c>
      <c r="F33" s="20">
        <f t="shared" si="1"/>
        <v>7423334.86333333</v>
      </c>
      <c r="G33" s="20"/>
      <c r="H33" s="20"/>
      <c r="I33" s="20"/>
      <c r="J33" s="20">
        <f t="shared" si="29"/>
        <v>0</v>
      </c>
      <c r="K33" s="35">
        <f t="shared" si="30"/>
        <v>0</v>
      </c>
      <c r="L33" s="20">
        <f t="shared" si="31"/>
        <v>7534326.47</v>
      </c>
      <c r="M33" s="20">
        <f t="shared" si="32"/>
        <v>7024433.66</v>
      </c>
      <c r="N33" s="20">
        <f t="shared" si="33"/>
        <v>7711244.46</v>
      </c>
      <c r="O33" s="33">
        <f t="shared" si="34"/>
        <v>7423334.86</v>
      </c>
      <c r="P33" s="34"/>
      <c r="Q33" s="33">
        <f t="shared" si="35"/>
        <v>7423334.86</v>
      </c>
      <c r="R33" s="55"/>
      <c r="S33" s="55"/>
      <c r="T33" s="56" t="s">
        <v>31</v>
      </c>
    </row>
    <row r="34" s="3" customFormat="1" ht="19" customHeight="1" spans="1:20">
      <c r="A34" s="18" t="s">
        <v>55</v>
      </c>
      <c r="B34" s="19">
        <v>29</v>
      </c>
      <c r="C34" s="20">
        <v>1322693.07</v>
      </c>
      <c r="D34" s="20">
        <v>1570639.73</v>
      </c>
      <c r="E34" s="20">
        <v>1558786.88</v>
      </c>
      <c r="F34" s="20">
        <f t="shared" si="1"/>
        <v>1484039.89333333</v>
      </c>
      <c r="G34" s="20"/>
      <c r="H34" s="20"/>
      <c r="I34" s="20"/>
      <c r="J34" s="20">
        <f t="shared" si="29"/>
        <v>0</v>
      </c>
      <c r="K34" s="35">
        <f t="shared" si="30"/>
        <v>0</v>
      </c>
      <c r="L34" s="20">
        <f t="shared" si="31"/>
        <v>1322693.07</v>
      </c>
      <c r="M34" s="20">
        <f t="shared" si="32"/>
        <v>1570639.73</v>
      </c>
      <c r="N34" s="20">
        <f t="shared" si="33"/>
        <v>1558786.88</v>
      </c>
      <c r="O34" s="33">
        <f t="shared" si="34"/>
        <v>1484039.89</v>
      </c>
      <c r="P34" s="34">
        <f t="shared" ref="P34:P36" si="36">Q34-F34</f>
        <v>74746.9866666666</v>
      </c>
      <c r="Q34" s="33">
        <f>N34</f>
        <v>1558786.88</v>
      </c>
      <c r="R34" s="56" t="s">
        <v>37</v>
      </c>
      <c r="S34" s="55"/>
      <c r="T34" s="56" t="s">
        <v>38</v>
      </c>
    </row>
    <row r="35" s="3" customFormat="1" ht="19" customHeight="1" spans="1:20">
      <c r="A35" s="18" t="s">
        <v>56</v>
      </c>
      <c r="B35" s="19">
        <v>30</v>
      </c>
      <c r="C35" s="20">
        <v>5799224.63</v>
      </c>
      <c r="D35" s="20">
        <v>2123394.2</v>
      </c>
      <c r="E35" s="20">
        <v>2534970.82</v>
      </c>
      <c r="F35" s="20">
        <f t="shared" si="1"/>
        <v>3485863.21666667</v>
      </c>
      <c r="G35" s="20">
        <v>-4669480.94</v>
      </c>
      <c r="H35" s="20"/>
      <c r="I35" s="20"/>
      <c r="J35" s="20">
        <f t="shared" si="29"/>
        <v>-4669480.94</v>
      </c>
      <c r="K35" s="35">
        <f t="shared" si="30"/>
        <v>-1556493.64666667</v>
      </c>
      <c r="L35" s="20">
        <f t="shared" si="31"/>
        <v>1129743.69</v>
      </c>
      <c r="M35" s="20">
        <f t="shared" si="32"/>
        <v>2123394.2</v>
      </c>
      <c r="N35" s="20">
        <f t="shared" si="33"/>
        <v>2534970.82</v>
      </c>
      <c r="O35" s="33">
        <f t="shared" si="34"/>
        <v>1929369.57</v>
      </c>
      <c r="P35" s="34">
        <f t="shared" si="36"/>
        <v>-1556493.64666667</v>
      </c>
      <c r="Q35" s="33">
        <f t="shared" si="35"/>
        <v>1929369.57</v>
      </c>
      <c r="R35" s="56" t="s">
        <v>57</v>
      </c>
      <c r="S35" s="55"/>
      <c r="T35" s="55"/>
    </row>
    <row r="36" s="3" customFormat="1" ht="19" customHeight="1" spans="1:20">
      <c r="A36" s="23" t="s">
        <v>58</v>
      </c>
      <c r="B36" s="19"/>
      <c r="C36" s="24">
        <v>15049775.09</v>
      </c>
      <c r="D36" s="24">
        <v>20106774.39</v>
      </c>
      <c r="E36" s="24">
        <v>24903879.5</v>
      </c>
      <c r="F36" s="24">
        <f t="shared" si="1"/>
        <v>20020142.9933333</v>
      </c>
      <c r="G36" s="24">
        <f>C36*-1</f>
        <v>-15049775.09</v>
      </c>
      <c r="H36" s="24">
        <f>D36*-1</f>
        <v>-20106774.39</v>
      </c>
      <c r="I36" s="24">
        <f>E36*-1</f>
        <v>-24903879.5</v>
      </c>
      <c r="J36" s="24">
        <f t="shared" si="29"/>
        <v>-60060428.98</v>
      </c>
      <c r="K36" s="40">
        <f t="shared" si="30"/>
        <v>-20020142.9933333</v>
      </c>
      <c r="L36" s="24">
        <v>0</v>
      </c>
      <c r="M36" s="24">
        <v>0</v>
      </c>
      <c r="N36" s="24">
        <v>0</v>
      </c>
      <c r="O36" s="41"/>
      <c r="P36" s="45">
        <f t="shared" si="36"/>
        <v>-20020142.9933333</v>
      </c>
      <c r="Q36" s="58">
        <v>0</v>
      </c>
      <c r="R36" s="56" t="s">
        <v>59</v>
      </c>
      <c r="S36" s="55"/>
      <c r="T36" s="55"/>
    </row>
    <row r="37" s="4" customFormat="1" ht="19" customHeight="1" spans="1:20">
      <c r="A37" s="23" t="s">
        <v>60</v>
      </c>
      <c r="B37" s="19" t="s">
        <v>61</v>
      </c>
      <c r="C37" s="24">
        <f t="shared" ref="C37:F37" si="37">C14+C15+C16+C36</f>
        <v>167127958.230922</v>
      </c>
      <c r="D37" s="24">
        <f t="shared" si="37"/>
        <v>187113587.902197</v>
      </c>
      <c r="E37" s="24">
        <f t="shared" si="37"/>
        <v>218086353.279961</v>
      </c>
      <c r="F37" s="24">
        <f t="shared" si="37"/>
        <v>190775966.471026</v>
      </c>
      <c r="G37" s="24" t="e">
        <f>G14+G15+G16+G36-#REF!</f>
        <v>#REF!</v>
      </c>
      <c r="H37" s="24" t="e">
        <f>H14+H15+H16+H36-#REF!</f>
        <v>#REF!</v>
      </c>
      <c r="I37" s="24" t="e">
        <f>I14+I15+I16+I36-#REF!</f>
        <v>#REF!</v>
      </c>
      <c r="J37" s="24" t="e">
        <f>J14+J15+J16+J36-#REF!</f>
        <v>#REF!</v>
      </c>
      <c r="K37" s="24" t="e">
        <f>K14+K15+K16+K36-#REF!</f>
        <v>#REF!</v>
      </c>
      <c r="L37" s="24" t="e">
        <f>L14+L15+L16+L36-#REF!</f>
        <v>#REF!</v>
      </c>
      <c r="M37" s="24" t="e">
        <f>M14+M15+M16+M36-#REF!</f>
        <v>#REF!</v>
      </c>
      <c r="N37" s="24" t="e">
        <f>N14+N15+N16+N36-#REF!</f>
        <v>#REF!</v>
      </c>
      <c r="O37" s="24" t="e">
        <f>O14+O15+O16+O36-#REF!</f>
        <v>#REF!</v>
      </c>
      <c r="P37" s="46">
        <f>P14+P15+P16+P36</f>
        <v>-25575174.2143992</v>
      </c>
      <c r="Q37" s="24">
        <f>Q14+Q15+Q16+Q36</f>
        <v>165200792.249961</v>
      </c>
      <c r="R37" s="55"/>
      <c r="S37" s="57"/>
      <c r="T37" s="55"/>
    </row>
    <row r="38" s="4" customFormat="1" ht="19" customHeight="1" spans="1:20">
      <c r="A38" s="23" t="s">
        <v>62</v>
      </c>
      <c r="B38" s="19" t="s">
        <v>63</v>
      </c>
      <c r="C38" s="26">
        <v>2.39461955585848</v>
      </c>
      <c r="D38" s="26">
        <v>2.25180315781443</v>
      </c>
      <c r="E38" s="26">
        <v>2.67846682236104</v>
      </c>
      <c r="F38" s="26">
        <v>2.44259058062547</v>
      </c>
      <c r="G38" s="27"/>
      <c r="H38" s="27"/>
      <c r="I38" s="27"/>
      <c r="J38" s="27">
        <f>SUM(G38:I38)</f>
        <v>0</v>
      </c>
      <c r="K38" s="27"/>
      <c r="L38" s="26" t="e">
        <f t="shared" ref="L38:O38" si="38">L37/L11</f>
        <v>#REF!</v>
      </c>
      <c r="M38" s="26" t="e">
        <f t="shared" si="38"/>
        <v>#REF!</v>
      </c>
      <c r="N38" s="26" t="e">
        <f t="shared" si="38"/>
        <v>#REF!</v>
      </c>
      <c r="O38" s="26" t="e">
        <f t="shared" si="38"/>
        <v>#REF!</v>
      </c>
      <c r="P38" s="47"/>
      <c r="Q38" s="26">
        <f>Q37/Q11</f>
        <v>1.7852334385618</v>
      </c>
      <c r="R38" s="55"/>
      <c r="S38" s="57"/>
      <c r="T38" s="55"/>
    </row>
    <row r="39" s="1" customFormat="1" customHeight="1" spans="2:16">
      <c r="B39" s="5"/>
      <c r="C39" s="28"/>
      <c r="D39" s="28"/>
      <c r="E39" s="28"/>
      <c r="F39" s="28"/>
      <c r="G39" s="28"/>
      <c r="H39" s="28"/>
      <c r="I39" s="28"/>
      <c r="J39" s="28"/>
      <c r="K39" s="28"/>
      <c r="L39" s="5"/>
      <c r="M39" s="5"/>
      <c r="N39" s="5"/>
      <c r="P39" s="7"/>
    </row>
  </sheetData>
  <mergeCells count="9">
    <mergeCell ref="A2:Q2"/>
    <mergeCell ref="C3:M3"/>
    <mergeCell ref="C4:F4"/>
    <mergeCell ref="G4:K4"/>
    <mergeCell ref="L4:O4"/>
    <mergeCell ref="A4:A5"/>
    <mergeCell ref="B4:B5"/>
    <mergeCell ref="P4:P5"/>
    <mergeCell ref="Q4:Q5"/>
  </mergeCells>
  <pageMargins left="0.236111111111111" right="0.156944444444444" top="0.472222222222222" bottom="0.511805555555556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李莉</dc:creator>
  <cp:lastModifiedBy>李莉</cp:lastModifiedBy>
  <dcterms:created xsi:type="dcterms:W3CDTF">2023-09-18T02:57:51Z</dcterms:created>
  <dcterms:modified xsi:type="dcterms:W3CDTF">2023-09-18T03:01:40Z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767CFBF285AB45E28FC5B58BF0B54DF4_11</vt:lpwstr>
  </property>
  <property fmtid="{D5CDD505-2E9C-101B-9397-08002B2CF9AE}" pid="3" name="KSOProductBuildVer">
    <vt:lpwstr>2052-12.1.0.15398</vt:lpwstr>
  </property>
</Properties>
</file>